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achel.lee\Documents\Roadmaps\Product Enablement\Coolant Management\"/>
    </mc:Choice>
  </mc:AlternateContent>
  <xr:revisionPtr revIDLastSave="0" documentId="8_{EE5B4A24-C811-470B-AF03-81FCE9662219}" xr6:coauthVersionLast="47" xr6:coauthVersionMax="47" xr10:uidLastSave="{00000000-0000-0000-0000-000000000000}"/>
  <bookViews>
    <workbookView xWindow="-28650" yWindow="0" windowWidth="27885" windowHeight="14670" xr2:uid="{00000000-000D-0000-FFFF-FFFF00000000}"/>
  </bookViews>
  <sheets>
    <sheet name="Resusable ice vs. single use" sheetId="15" r:id="rId1"/>
    <sheet name="ROI Equal Ice" sheetId="7" state="hidden" r:id="rId2"/>
  </sheets>
  <definedNames>
    <definedName name="Vino6" localSheetId="0">'Resusable ice vs. single use'!#REF!</definedName>
    <definedName name="Vino6">'ROI Equal Ice'!$I$6:$I$9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5" l="1"/>
  <c r="E37" i="15"/>
  <c r="G30" i="15"/>
  <c r="D30" i="15"/>
  <c r="E25" i="15"/>
  <c r="D24" i="15"/>
  <c r="D23" i="15"/>
  <c r="D25" i="15" s="1"/>
  <c r="D26" i="15" s="1"/>
  <c r="D21" i="15"/>
  <c r="D31" i="15" s="1"/>
  <c r="D20" i="15"/>
  <c r="E19" i="15"/>
  <c r="E21" i="15" s="1"/>
  <c r="E18" i="15"/>
  <c r="E31" i="15" l="1"/>
  <c r="E26" i="15"/>
  <c r="E32" i="15"/>
  <c r="H31" i="15"/>
  <c r="H32" i="15" s="1"/>
  <c r="H33" i="15" s="1"/>
  <c r="H34" i="15" s="1"/>
  <c r="G31" i="15"/>
  <c r="G32" i="15" s="1"/>
  <c r="G34" i="15" s="1"/>
  <c r="D32" i="15"/>
  <c r="D34" i="15" s="1"/>
  <c r="E39" i="15"/>
  <c r="H35" i="15" s="1"/>
  <c r="E42" i="15" l="1"/>
  <c r="G33" i="15"/>
  <c r="D33" i="15"/>
  <c r="E33" i="15"/>
  <c r="E34" i="15" s="1"/>
  <c r="E41" i="15" s="1"/>
  <c r="E40" i="15"/>
  <c r="K12" i="7" l="1"/>
  <c r="J12" i="7"/>
  <c r="D7" i="7" l="1"/>
  <c r="C19" i="7" l="1"/>
  <c r="D8" i="7" l="1"/>
  <c r="C14" i="7" l="1"/>
  <c r="C35" i="7" s="1"/>
  <c r="D20" i="7" l="1"/>
  <c r="D19" i="7"/>
  <c r="C15" i="7" s="1"/>
  <c r="C20" i="7"/>
  <c r="C26" i="7" s="1"/>
  <c r="F26" i="7" s="1"/>
  <c r="D28" i="7" l="1"/>
  <c r="G28" i="7" s="1"/>
  <c r="D27" i="7"/>
  <c r="G27" i="7" s="1"/>
  <c r="D26" i="7"/>
  <c r="G26" i="7" s="1"/>
  <c r="D25" i="7"/>
  <c r="G25" i="7" s="1"/>
  <c r="C25" i="7" l="1"/>
  <c r="F25" i="7" s="1"/>
  <c r="C27" i="7" l="1"/>
  <c r="F27" i="7" s="1"/>
  <c r="D32" i="7"/>
  <c r="C28" i="7"/>
  <c r="F28" i="7" s="1"/>
  <c r="D35" i="7" l="1"/>
  <c r="D33" i="7"/>
</calcChain>
</file>

<file path=xl/sharedStrings.xml><?xml version="1.0" encoding="utf-8"?>
<sst xmlns="http://schemas.openxmlformats.org/spreadsheetml/2006/main" count="95" uniqueCount="78">
  <si>
    <t>Re-usable Ice ROI Calculator (vs. Single Use Ice)</t>
  </si>
  <si>
    <t>Instructions</t>
  </si>
  <si>
    <t>6. View summary at the bottom of the page to learn how many weeks it takes to recoup your Liviri ice investment and savings per year.</t>
  </si>
  <si>
    <t>RE-USABLE ICE PACK CACULATOR</t>
  </si>
  <si>
    <t>Liviri Ice Specs</t>
  </si>
  <si>
    <t>Single Use Ice</t>
  </si>
  <si>
    <t>Liviri Re-usable Ice</t>
  </si>
  <si>
    <t>Ice Pack</t>
  </si>
  <si>
    <t>Coolant Weight (lbs)*</t>
  </si>
  <si>
    <t>Price</t>
  </si>
  <si>
    <t>Liviri Ice pack type</t>
  </si>
  <si>
    <t>Sprint 45 Vertical</t>
  </si>
  <si>
    <t>Cost</t>
  </si>
  <si>
    <t>Sprint 45 Horizontal</t>
  </si>
  <si>
    <t>Coolant Weight</t>
  </si>
  <si>
    <t>Sprint 50</t>
  </si>
  <si>
    <t>Pounds of coolant needed per shipment</t>
  </si>
  <si>
    <t>Vino 6</t>
  </si>
  <si>
    <t># of ice packs per shipment</t>
  </si>
  <si>
    <t>* Total weight of ice packs including plastic shell ~.5lbs heavier.</t>
  </si>
  <si>
    <t xml:space="preserve"># of ice sets needed per tote/day (for re-freeze) </t>
  </si>
  <si>
    <t>Orders/day</t>
  </si>
  <si>
    <t>Chilled &amp; frozen totes/order</t>
  </si>
  <si>
    <t>Total chilled &amp; frozen totes per day</t>
  </si>
  <si>
    <t>Total ice packs needed per day</t>
  </si>
  <si>
    <t>Cost for Single Order</t>
  </si>
  <si>
    <t>Total Cost</t>
  </si>
  <si>
    <t>Day</t>
  </si>
  <si>
    <t>Week</t>
  </si>
  <si>
    <t>Month</t>
  </si>
  <si>
    <t>Year</t>
  </si>
  <si>
    <t>Chilled/frozen totes per day</t>
  </si>
  <si>
    <t xml:space="preserve"> Re-usable Ice ROI Summary</t>
  </si>
  <si>
    <t># of Daily Orders</t>
  </si>
  <si>
    <t>Chilled totes per order</t>
  </si>
  <si>
    <t>Total chilled totes per day</t>
  </si>
  <si>
    <t>Number of weeks it takes to recoup reusable ice investment</t>
  </si>
  <si>
    <t>Total savings per year for all orders</t>
  </si>
  <si>
    <t>Re-usable Ice ROI Calculator (Equal Ice)</t>
  </si>
  <si>
    <t>Single Use</t>
  </si>
  <si>
    <t>Re-usable</t>
  </si>
  <si>
    <t>Type</t>
  </si>
  <si>
    <t>Coolant (lbs)</t>
  </si>
  <si>
    <t>Cost ($)</t>
  </si>
  <si>
    <t>Shuttle</t>
  </si>
  <si>
    <t>Fresh Small</t>
  </si>
  <si>
    <t>Weight</t>
  </si>
  <si>
    <t>Fresh Large</t>
  </si>
  <si>
    <t>Vino6</t>
  </si>
  <si>
    <t>Lbs of Ice/Shipment</t>
  </si>
  <si>
    <t>Vino4 Small</t>
  </si>
  <si>
    <t>Ship days/week</t>
  </si>
  <si>
    <t>Vino4 Large</t>
  </si>
  <si>
    <t>Ice Pack Uses/week</t>
  </si>
  <si>
    <t>Vino4 Full</t>
  </si>
  <si>
    <t>Units/Ship Day</t>
  </si>
  <si>
    <t>Total Shipments/week</t>
  </si>
  <si>
    <t>Total reusable ice packs/week</t>
  </si>
  <si>
    <t>Ice Packs/Shipment</t>
  </si>
  <si>
    <t># of ice packs</t>
  </si>
  <si>
    <t>Cost/Pack</t>
  </si>
  <si>
    <t>Re-usable Ice Operational Cost*</t>
  </si>
  <si>
    <t>Cost for Single Shipment</t>
  </si>
  <si>
    <t>Total cost</t>
  </si>
  <si>
    <t>Shuttle 53 Re-usable Ice ROI</t>
  </si>
  <si>
    <t>Re-usable ice investment</t>
  </si>
  <si>
    <t>Break even weeks/tote</t>
  </si>
  <si>
    <t>Annual Savings Per shipment with Reusable Ice</t>
  </si>
  <si>
    <t>Shipments/year</t>
  </si>
  <si>
    <t>Total Savings per year</t>
  </si>
  <si>
    <t>*Operational Cost to remove and re-freeze ice 1 minute per use for a $15/hour employee</t>
  </si>
  <si>
    <r>
      <t xml:space="preserve">Total annual savings </t>
    </r>
    <r>
      <rPr>
        <u/>
        <sz val="11"/>
        <color theme="1"/>
        <rFont val="Open Sans Light"/>
        <family val="2"/>
      </rPr>
      <t>per order</t>
    </r>
    <r>
      <rPr>
        <sz val="11"/>
        <color theme="1"/>
        <rFont val="Open Sans Light"/>
        <family val="2"/>
      </rPr>
      <t xml:space="preserve"> with reusable ice</t>
    </r>
  </si>
  <si>
    <r>
      <t>4. Input the number of pounds of coolant needed per shipment in</t>
    </r>
    <r>
      <rPr>
        <b/>
        <sz val="11"/>
        <color theme="1"/>
        <rFont val="Open Sans Light"/>
        <family val="2"/>
      </rPr>
      <t xml:space="preserve"> </t>
    </r>
    <r>
      <rPr>
        <b/>
        <sz val="11"/>
        <color theme="1"/>
        <rFont val="Open Sans ExtraBold"/>
        <family val="2"/>
      </rPr>
      <t>cell E20</t>
    </r>
    <r>
      <rPr>
        <sz val="11"/>
        <color theme="1"/>
        <rFont val="Open Sans Light"/>
        <family val="2"/>
      </rPr>
      <t>.</t>
    </r>
  </si>
  <si>
    <r>
      <t xml:space="preserve">3. Input your current single use ice pack cost and coolant weight in </t>
    </r>
    <r>
      <rPr>
        <sz val="11"/>
        <color theme="1"/>
        <rFont val="Open Sans ExtraBold"/>
        <family val="2"/>
      </rPr>
      <t>cells D18 and D19</t>
    </r>
    <r>
      <rPr>
        <b/>
        <sz val="11"/>
        <color theme="1"/>
        <rFont val="Open Sans Light"/>
        <family val="2"/>
      </rPr>
      <t>.</t>
    </r>
  </si>
  <si>
    <r>
      <t xml:space="preserve">2. Update the cost of Liviri ice pack based on your pricing tier in </t>
    </r>
    <r>
      <rPr>
        <b/>
        <sz val="11"/>
        <color theme="1"/>
        <rFont val="Open Sans ExtraBold"/>
        <family val="2"/>
      </rPr>
      <t>cells I17-20</t>
    </r>
    <r>
      <rPr>
        <sz val="11"/>
        <color theme="1"/>
        <rFont val="Open Sans Light"/>
        <family val="2"/>
      </rPr>
      <t>.</t>
    </r>
  </si>
  <si>
    <r>
      <t>1. Select ice pack type from drop down list in</t>
    </r>
    <r>
      <rPr>
        <b/>
        <sz val="11"/>
        <color theme="1"/>
        <rFont val="Open Sans ExtraBold"/>
        <family val="2"/>
      </rPr>
      <t xml:space="preserve"> cell E17</t>
    </r>
    <r>
      <rPr>
        <sz val="11"/>
        <color theme="1"/>
        <rFont val="Open Sans Light"/>
        <family val="2"/>
      </rPr>
      <t>.</t>
    </r>
  </si>
  <si>
    <r>
      <t xml:space="preserve">5. Input orders per day and number of chilled/frozen totes per order in </t>
    </r>
    <r>
      <rPr>
        <b/>
        <sz val="11"/>
        <color theme="1"/>
        <rFont val="Open Sans ExtraBold"/>
        <family val="2"/>
      </rPr>
      <t>cells E23 and E24</t>
    </r>
    <r>
      <rPr>
        <sz val="11"/>
        <color theme="1"/>
        <rFont val="Open Sans Light"/>
        <family val="2"/>
      </rPr>
      <t>.</t>
    </r>
  </si>
  <si>
    <r>
      <rPr>
        <u/>
        <sz val="11"/>
        <color theme="1"/>
        <rFont val="Open Sans Light"/>
        <family val="2"/>
      </rPr>
      <t>Note</t>
    </r>
    <r>
      <rPr>
        <sz val="11"/>
        <color theme="1"/>
        <rFont val="Open Sans Light"/>
        <family val="2"/>
      </rPr>
      <t xml:space="preserve">: input values in </t>
    </r>
    <r>
      <rPr>
        <sz val="11"/>
        <color rgb="FFFFC82D"/>
        <rFont val="Open Sans ExtraBold"/>
        <family val="2"/>
      </rPr>
      <t>yellow cells</t>
    </r>
    <r>
      <rPr>
        <sz val="11"/>
        <color theme="1"/>
        <rFont val="Open Sans Light"/>
        <family val="2"/>
      </rPr>
      <t xml:space="preserve"> to calculate the ROI of implementing Liviri reusable ice  vs. single use ice.   All other cells will calculate.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</si>
</sst>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&quot;$&quot;#,##0.00"/>
    <numFmt numFmtId="167" formatCode="_(&quot;$&quot;* #,##0_);_(&quot;$&quot;* \(#,##0\);_(&quot;$&quot;* &quot;-&quot;??_);_(@_)"/>
    <numFmt numFmtId="168" formatCode="_(* #,##0.0_);_(* \(#,##0.0\);_(* &quot;-&quot;??_);_(@_)"/>
  </numFmts>
  <fonts count="26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Open Sans ExtraBold"/>
      <family val="2"/>
    </font>
    <font>
      <b/>
      <sz val="14"/>
      <color theme="0"/>
      <name val="Open Sans ExtraBold"/>
      <family val="2"/>
    </font>
    <font>
      <b/>
      <sz val="11"/>
      <color theme="1"/>
      <name val="Open Sans Condensed"/>
      <family val="2"/>
    </font>
    <font>
      <sz val="11"/>
      <color theme="1"/>
      <name val="Open Sans Condensed"/>
      <family val="2"/>
    </font>
    <font>
      <b/>
      <sz val="11"/>
      <color theme="1"/>
      <name val="Open Sans Light"/>
      <family val="2"/>
    </font>
    <font>
      <sz val="11"/>
      <name val="Open Sans Light"/>
      <family val="2"/>
    </font>
    <font>
      <sz val="11"/>
      <color theme="1"/>
      <name val="Open Sans Light"/>
      <family val="2"/>
    </font>
    <font>
      <sz val="8"/>
      <color theme="1"/>
      <name val="Open Sans Light"/>
      <family val="2"/>
    </font>
    <font>
      <u/>
      <sz val="11"/>
      <color theme="1"/>
      <name val="Open Sans Light"/>
      <family val="2"/>
    </font>
    <font>
      <b/>
      <sz val="12"/>
      <color theme="1"/>
      <name val="Open Sans Condensed"/>
      <family val="2"/>
    </font>
    <font>
      <b/>
      <sz val="12"/>
      <color theme="0"/>
      <name val="Open Sans Condensed"/>
      <family val="2"/>
    </font>
    <font>
      <sz val="12"/>
      <color theme="1"/>
      <name val="Open Sans Condensed"/>
      <family val="2"/>
    </font>
    <font>
      <b/>
      <sz val="11"/>
      <color theme="1"/>
      <name val="Open Sans ExtraBold"/>
      <family val="2"/>
    </font>
    <font>
      <sz val="11"/>
      <color theme="1"/>
      <name val="Open Sans ExtraBold"/>
      <family val="2"/>
    </font>
    <font>
      <i/>
      <sz val="11"/>
      <color rgb="FF9FB135"/>
      <name val="Open Sans"/>
      <family val="2"/>
    </font>
    <font>
      <sz val="11"/>
      <color rgb="FFFFC82D"/>
      <name val="Open Sans ExtraBold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FB135"/>
        <bgColor indexed="64"/>
      </patternFill>
    </fill>
    <fill>
      <patternFill patternType="solid">
        <fgColor rgb="FFFFC82D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Border="1"/>
    <xf numFmtId="0" fontId="2" fillId="0" borderId="0" xfId="0" applyFont="1"/>
    <xf numFmtId="0" fontId="5" fillId="0" borderId="0" xfId="0" applyFont="1"/>
    <xf numFmtId="0" fontId="0" fillId="0" borderId="0" xfId="0" applyFill="1" applyBorder="1"/>
    <xf numFmtId="44" fontId="0" fillId="0" borderId="1" xfId="4" applyFont="1" applyBorder="1"/>
    <xf numFmtId="44" fontId="0" fillId="0" borderId="1" xfId="0" applyNumberFormat="1" applyBorder="1"/>
    <xf numFmtId="44" fontId="0" fillId="0" borderId="0" xfId="4" applyFont="1" applyBorder="1"/>
    <xf numFmtId="0" fontId="0" fillId="6" borderId="1" xfId="0" applyFill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" xfId="0" applyBorder="1" applyAlignment="1"/>
    <xf numFmtId="166" fontId="0" fillId="0" borderId="1" xfId="4" applyNumberFormat="1" applyFont="1" applyBorder="1" applyAlignment="1"/>
    <xf numFmtId="44" fontId="0" fillId="0" borderId="0" xfId="4" applyFont="1" applyBorder="1" applyAlignment="1"/>
    <xf numFmtId="165" fontId="0" fillId="0" borderId="0" xfId="3" applyNumberFormat="1" applyFont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/>
    <xf numFmtId="0" fontId="0" fillId="0" borderId="12" xfId="0" applyFill="1" applyBorder="1"/>
    <xf numFmtId="0" fontId="2" fillId="5" borderId="11" xfId="0" applyFont="1" applyFill="1" applyBorder="1" applyAlignment="1">
      <alignment horizontal="center"/>
    </xf>
    <xf numFmtId="0" fontId="0" fillId="0" borderId="0" xfId="0" applyFill="1"/>
    <xf numFmtId="164" fontId="2" fillId="10" borderId="13" xfId="0" applyNumberFormat="1" applyFont="1" applyFill="1" applyBorder="1" applyAlignment="1">
      <alignment horizontal="right"/>
    </xf>
    <xf numFmtId="44" fontId="2" fillId="10" borderId="1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3" xfId="0" applyBorder="1"/>
    <xf numFmtId="0" fontId="0" fillId="0" borderId="9" xfId="0" applyFont="1" applyBorder="1"/>
    <xf numFmtId="167" fontId="2" fillId="10" borderId="10" xfId="4" applyNumberFormat="1" applyFont="1" applyFill="1" applyBorder="1"/>
    <xf numFmtId="0" fontId="0" fillId="0" borderId="0" xfId="0" applyBorder="1" applyAlignment="1"/>
    <xf numFmtId="166" fontId="0" fillId="0" borderId="0" xfId="4" applyNumberFormat="1" applyFont="1" applyBorder="1" applyAlignment="1"/>
    <xf numFmtId="0" fontId="7" fillId="0" borderId="0" xfId="0" applyFont="1" applyFill="1"/>
    <xf numFmtId="0" fontId="0" fillId="0" borderId="0" xfId="0" applyFill="1" applyBorder="1" applyAlignment="1"/>
    <xf numFmtId="166" fontId="0" fillId="0" borderId="0" xfId="4" applyNumberFormat="1" applyFont="1" applyFill="1" applyBorder="1" applyAlignment="1"/>
    <xf numFmtId="44" fontId="0" fillId="0" borderId="0" xfId="4" applyFont="1" applyFill="1" applyBorder="1"/>
    <xf numFmtId="165" fontId="0" fillId="0" borderId="0" xfId="3" applyNumberFormat="1" applyFont="1" applyFill="1" applyBorder="1" applyAlignment="1"/>
    <xf numFmtId="44" fontId="0" fillId="0" borderId="0" xfId="0" applyNumberFormat="1" applyFill="1" applyBorder="1"/>
    <xf numFmtId="164" fontId="2" fillId="0" borderId="0" xfId="0" applyNumberFormat="1" applyFont="1" applyFill="1" applyBorder="1" applyAlignment="1">
      <alignment horizontal="right"/>
    </xf>
    <xf numFmtId="44" fontId="2" fillId="0" borderId="0" xfId="0" applyNumberFormat="1" applyFont="1" applyFill="1" applyBorder="1" applyAlignment="1">
      <alignment horizontal="center"/>
    </xf>
    <xf numFmtId="167" fontId="2" fillId="0" borderId="0" xfId="4" applyNumberFormat="1" applyFont="1" applyFill="1" applyBorder="1"/>
    <xf numFmtId="166" fontId="0" fillId="0" borderId="11" xfId="0" applyNumberFormat="1" applyFont="1" applyFill="1" applyBorder="1" applyAlignment="1">
      <alignment horizontal="right"/>
    </xf>
    <xf numFmtId="44" fontId="0" fillId="0" borderId="11" xfId="4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167" fontId="0" fillId="0" borderId="1" xfId="4" applyNumberFormat="1" applyFont="1" applyFill="1" applyBorder="1" applyAlignment="1">
      <alignment horizontal="center"/>
    </xf>
    <xf numFmtId="167" fontId="0" fillId="0" borderId="1" xfId="4" applyNumberFormat="1" applyFont="1" applyBorder="1"/>
    <xf numFmtId="0" fontId="0" fillId="0" borderId="0" xfId="0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44" fontId="0" fillId="0" borderId="1" xfId="4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0" fillId="6" borderId="1" xfId="0" applyFill="1" applyBorder="1"/>
    <xf numFmtId="0" fontId="6" fillId="7" borderId="15" xfId="0" applyFont="1" applyFill="1" applyBorder="1"/>
    <xf numFmtId="0" fontId="7" fillId="7" borderId="20" xfId="0" applyFont="1" applyFill="1" applyBorder="1"/>
    <xf numFmtId="0" fontId="7" fillId="7" borderId="16" xfId="0" applyFont="1" applyFill="1" applyBorder="1"/>
    <xf numFmtId="0" fontId="2" fillId="0" borderId="0" xfId="0" applyFont="1" applyBorder="1"/>
    <xf numFmtId="0" fontId="0" fillId="0" borderId="0" xfId="0" applyFont="1" applyBorder="1"/>
    <xf numFmtId="0" fontId="2" fillId="0" borderId="1" xfId="0" applyFont="1" applyBorder="1" applyAlignment="1">
      <alignment horizontal="center"/>
    </xf>
    <xf numFmtId="44" fontId="0" fillId="6" borderId="1" xfId="4" applyFon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8" xfId="0" applyFont="1" applyBorder="1" applyAlignment="1">
      <alignment horizontal="left"/>
    </xf>
    <xf numFmtId="44" fontId="2" fillId="0" borderId="19" xfId="4" applyFont="1" applyBorder="1"/>
    <xf numFmtId="0" fontId="0" fillId="0" borderId="5" xfId="0" applyFont="1" applyFill="1" applyBorder="1" applyAlignment="1">
      <alignment horizontal="right"/>
    </xf>
    <xf numFmtId="44" fontId="0" fillId="6" borderId="6" xfId="4" applyFont="1" applyFill="1" applyBorder="1"/>
    <xf numFmtId="44" fontId="0" fillId="0" borderId="5" xfId="4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1" xfId="0" applyBorder="1" applyAlignment="1">
      <alignment horizontal="left"/>
    </xf>
    <xf numFmtId="0" fontId="3" fillId="0" borderId="0" xfId="2" applyFill="1"/>
    <xf numFmtId="0" fontId="1" fillId="2" borderId="1" xfId="1" applyBorder="1" applyAlignment="1">
      <alignment horizontal="center"/>
    </xf>
    <xf numFmtId="0" fontId="1" fillId="2" borderId="11" xfId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left"/>
    </xf>
    <xf numFmtId="44" fontId="0" fillId="6" borderId="24" xfId="4" applyFont="1" applyFill="1" applyBorder="1"/>
    <xf numFmtId="0" fontId="0" fillId="0" borderId="7" xfId="0" applyFill="1" applyBorder="1" applyAlignment="1">
      <alignment horizontal="right"/>
    </xf>
    <xf numFmtId="44" fontId="0" fillId="6" borderId="8" xfId="0" applyNumberFormat="1" applyFill="1" applyBorder="1"/>
    <xf numFmtId="165" fontId="0" fillId="0" borderId="14" xfId="3" applyNumberFormat="1" applyFont="1" applyFill="1" applyBorder="1" applyAlignment="1">
      <alignment horizontal="center"/>
    </xf>
    <xf numFmtId="166" fontId="0" fillId="0" borderId="0" xfId="5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9" borderId="26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0" xfId="0" applyBorder="1"/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8" xfId="0" applyBorder="1"/>
    <xf numFmtId="165" fontId="0" fillId="0" borderId="28" xfId="3" applyNumberFormat="1" applyFont="1" applyFill="1" applyBorder="1" applyAlignment="1">
      <alignment horizontal="center"/>
    </xf>
    <xf numFmtId="0" fontId="0" fillId="0" borderId="0" xfId="0" applyFont="1"/>
    <xf numFmtId="0" fontId="10" fillId="0" borderId="0" xfId="0" applyFont="1"/>
    <xf numFmtId="0" fontId="12" fillId="9" borderId="27" xfId="0" applyFont="1" applyFill="1" applyBorder="1" applyAlignment="1">
      <alignment horizontal="left"/>
    </xf>
    <xf numFmtId="0" fontId="14" fillId="11" borderId="1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166" fontId="16" fillId="0" borderId="1" xfId="4" applyNumberFormat="1" applyFont="1" applyFill="1" applyBorder="1" applyAlignment="1">
      <alignment horizontal="right"/>
    </xf>
    <xf numFmtId="0" fontId="16" fillId="0" borderId="1" xfId="0" applyFont="1" applyBorder="1" applyAlignment="1">
      <alignment horizontal="left"/>
    </xf>
    <xf numFmtId="168" fontId="16" fillId="0" borderId="1" xfId="3" applyNumberFormat="1" applyFont="1" applyFill="1" applyBorder="1" applyAlignment="1">
      <alignment horizontal="right"/>
    </xf>
    <xf numFmtId="0" fontId="16" fillId="0" borderId="1" xfId="0" applyFont="1" applyBorder="1"/>
    <xf numFmtId="0" fontId="16" fillId="0" borderId="0" xfId="0" applyFont="1"/>
    <xf numFmtId="0" fontId="16" fillId="0" borderId="1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44" fontId="16" fillId="0" borderId="0" xfId="4" applyFont="1" applyFill="1" applyBorder="1"/>
    <xf numFmtId="165" fontId="16" fillId="0" borderId="1" xfId="3" applyNumberFormat="1" applyFont="1" applyBorder="1" applyAlignment="1"/>
    <xf numFmtId="165" fontId="16" fillId="0" borderId="1" xfId="3" applyNumberFormat="1" applyFont="1" applyFill="1" applyBorder="1" applyAlignment="1"/>
    <xf numFmtId="0" fontId="16" fillId="0" borderId="29" xfId="0" applyFont="1" applyBorder="1"/>
    <xf numFmtId="165" fontId="16" fillId="0" borderId="32" xfId="3" quotePrefix="1" applyNumberFormat="1" applyFont="1" applyBorder="1" applyAlignment="1"/>
    <xf numFmtId="0" fontId="16" fillId="0" borderId="32" xfId="0" applyFont="1" applyBorder="1"/>
    <xf numFmtId="0" fontId="16" fillId="0" borderId="34" xfId="0" applyFont="1" applyBorder="1"/>
    <xf numFmtId="166" fontId="16" fillId="0" borderId="11" xfId="5" applyNumberFormat="1" applyFont="1" applyFill="1" applyBorder="1" applyAlignment="1">
      <alignment horizontal="right"/>
    </xf>
    <xf numFmtId="0" fontId="14" fillId="11" borderId="0" xfId="0" applyFont="1" applyFill="1" applyBorder="1" applyAlignment="1">
      <alignment horizontal="center"/>
    </xf>
    <xf numFmtId="166" fontId="16" fillId="0" borderId="1" xfId="5" applyNumberFormat="1" applyFont="1" applyFill="1" applyBorder="1" applyAlignment="1">
      <alignment horizontal="right"/>
    </xf>
    <xf numFmtId="166" fontId="16" fillId="0" borderId="1" xfId="5" applyNumberFormat="1" applyFont="1" applyBorder="1" applyAlignment="1">
      <alignment horizontal="right"/>
    </xf>
    <xf numFmtId="166" fontId="14" fillId="0" borderId="0" xfId="5" applyNumberFormat="1" applyFont="1" applyFill="1" applyBorder="1" applyAlignment="1">
      <alignment horizontal="right"/>
    </xf>
    <xf numFmtId="166" fontId="16" fillId="0" borderId="0" xfId="5" applyNumberFormat="1" applyFont="1" applyFill="1" applyBorder="1" applyAlignment="1">
      <alignment horizontal="right"/>
    </xf>
    <xf numFmtId="165" fontId="13" fillId="0" borderId="31" xfId="3" applyNumberFormat="1" applyFont="1" applyBorder="1" applyAlignment="1"/>
    <xf numFmtId="165" fontId="13" fillId="0" borderId="33" xfId="3" applyNumberFormat="1" applyFont="1" applyBorder="1" applyAlignment="1"/>
    <xf numFmtId="164" fontId="13" fillId="13" borderId="33" xfId="0" applyNumberFormat="1" applyFont="1" applyFill="1" applyBorder="1" applyAlignment="1"/>
    <xf numFmtId="167" fontId="13" fillId="13" borderId="33" xfId="0" applyNumberFormat="1" applyFont="1" applyFill="1" applyBorder="1" applyAlignment="1">
      <alignment horizontal="right" indent="1"/>
    </xf>
    <xf numFmtId="167" fontId="13" fillId="13" borderId="35" xfId="4" applyNumberFormat="1" applyFont="1" applyFill="1" applyBorder="1" applyAlignment="1">
      <alignment horizontal="right" indent="1"/>
    </xf>
    <xf numFmtId="0" fontId="19" fillId="4" borderId="1" xfId="0" applyFont="1" applyFill="1" applyBorder="1" applyAlignment="1">
      <alignment horizontal="center" wrapText="1"/>
    </xf>
    <xf numFmtId="0" fontId="20" fillId="13" borderId="1" xfId="1" applyFont="1" applyFill="1" applyBorder="1" applyAlignment="1">
      <alignment horizontal="center" wrapText="1"/>
    </xf>
    <xf numFmtId="165" fontId="21" fillId="0" borderId="0" xfId="3" applyNumberFormat="1" applyFont="1" applyFill="1" applyBorder="1" applyAlignment="1"/>
    <xf numFmtId="0" fontId="19" fillId="0" borderId="0" xfId="0" applyFont="1" applyAlignment="1">
      <alignment horizontal="center"/>
    </xf>
    <xf numFmtId="0" fontId="20" fillId="13" borderId="2" xfId="0" applyFont="1" applyFill="1" applyBorder="1" applyAlignment="1">
      <alignment horizontal="center" wrapText="1"/>
    </xf>
    <xf numFmtId="0" fontId="20" fillId="13" borderId="3" xfId="0" applyFont="1" applyFill="1" applyBorder="1" applyAlignment="1">
      <alignment horizontal="center" wrapText="1"/>
    </xf>
    <xf numFmtId="0" fontId="20" fillId="13" borderId="4" xfId="0" applyFont="1" applyFill="1" applyBorder="1" applyAlignment="1">
      <alignment horizontal="center" wrapText="1"/>
    </xf>
    <xf numFmtId="166" fontId="21" fillId="0" borderId="0" xfId="4" applyNumberFormat="1" applyFont="1" applyFill="1" applyBorder="1" applyAlignment="1"/>
    <xf numFmtId="0" fontId="24" fillId="0" borderId="0" xfId="0" applyFont="1"/>
    <xf numFmtId="165" fontId="24" fillId="0" borderId="0" xfId="0" applyNumberFormat="1" applyFont="1"/>
    <xf numFmtId="0" fontId="15" fillId="14" borderId="1" xfId="1" applyFont="1" applyFill="1" applyBorder="1" applyAlignment="1">
      <alignment horizontal="center" wrapText="1"/>
    </xf>
    <xf numFmtId="166" fontId="16" fillId="14" borderId="1" xfId="4" applyNumberFormat="1" applyFont="1" applyFill="1" applyBorder="1" applyAlignment="1">
      <alignment horizontal="right"/>
    </xf>
    <xf numFmtId="0" fontId="16" fillId="14" borderId="1" xfId="0" applyFont="1" applyFill="1" applyBorder="1" applyAlignment="1">
      <alignment horizontal="right"/>
    </xf>
    <xf numFmtId="44" fontId="16" fillId="14" borderId="11" xfId="4" applyFont="1" applyFill="1" applyBorder="1"/>
    <xf numFmtId="44" fontId="16" fillId="14" borderId="1" xfId="4" applyFont="1" applyFill="1" applyBorder="1"/>
    <xf numFmtId="0" fontId="11" fillId="12" borderId="12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11" borderId="28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</cellXfs>
  <cellStyles count="6">
    <cellStyle name="Bad" xfId="2" builtinId="27"/>
    <cellStyle name="Comma" xfId="3" builtinId="3"/>
    <cellStyle name="Currency" xfId="4" builtinId="4"/>
    <cellStyle name="Good" xfId="1" builtinId="26"/>
    <cellStyle name="Normal" xfId="0" builtinId="0"/>
    <cellStyle name="Percent" xfId="5" builtinId="5"/>
  </cellStyles>
  <dxfs count="0"/>
  <tableStyles count="0" defaultTableStyle="TableStyleMedium2" defaultPivotStyle="PivotStyleLight16"/>
  <colors>
    <mruColors>
      <color rgb="FFFFC82D"/>
      <color rgb="FF99CC00"/>
      <color rgb="FF9FB135"/>
      <color rgb="FF82B333"/>
      <color rgb="FFCCFFCC"/>
      <color rgb="FF99FF99"/>
      <color rgb="FF95F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19050</xdr:rowOff>
    </xdr:to>
    <xdr:sp macro="" textlink="">
      <xdr:nvSpPr>
        <xdr:cNvPr id="3" name="AutoShape 8" descr="Liviri_Leaf (1)">
          <a:extLst>
            <a:ext uri="{FF2B5EF4-FFF2-40B4-BE49-F238E27FC236}">
              <a16:creationId xmlns:a16="http://schemas.microsoft.com/office/drawing/2014/main" id="{D7F83BA1-54DF-4E38-B481-A90489D9F2D5}"/>
            </a:ext>
          </a:extLst>
        </xdr:cNvPr>
        <xdr:cNvSpPr>
          <a:spLocks noChangeAspect="1" noChangeArrowheads="1"/>
        </xdr:cNvSpPr>
      </xdr:nvSpPr>
      <xdr:spPr bwMode="auto">
        <a:xfrm>
          <a:off x="171450" y="18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93767</xdr:colOff>
      <xdr:row>0</xdr:row>
      <xdr:rowOff>0</xdr:rowOff>
    </xdr:from>
    <xdr:to>
      <xdr:col>1</xdr:col>
      <xdr:colOff>1227260</xdr:colOff>
      <xdr:row>2</xdr:row>
      <xdr:rowOff>151912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CDBF8A3-6A25-4D9B-AA3B-E4A02AEBE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217" y="0"/>
          <a:ext cx="1133493" cy="618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A16B-49D3-41CB-8198-F18E2895FFB1}">
  <dimension ref="B2:I45"/>
  <sheetViews>
    <sheetView showGridLines="0" tabSelected="1" zoomScale="80" zoomScaleNormal="80" workbookViewId="0">
      <selection activeCell="R27" sqref="R27"/>
    </sheetView>
  </sheetViews>
  <sheetFormatPr defaultRowHeight="14.5"/>
  <cols>
    <col min="1" max="1" width="2.453125" customWidth="1"/>
    <col min="2" max="2" width="21" customWidth="1"/>
    <col min="3" max="3" width="25.453125" customWidth="1"/>
    <col min="4" max="4" width="17.1796875" customWidth="1"/>
    <col min="5" max="5" width="19.54296875" customWidth="1"/>
    <col min="6" max="6" width="1.453125" customWidth="1"/>
    <col min="7" max="7" width="26.453125" customWidth="1"/>
    <col min="8" max="8" width="20" customWidth="1"/>
    <col min="9" max="9" width="10.26953125" customWidth="1"/>
  </cols>
  <sheetData>
    <row r="2" spans="2:9" ht="23">
      <c r="C2" s="89" t="s">
        <v>0</v>
      </c>
      <c r="G2" s="4"/>
      <c r="H2" s="4"/>
    </row>
    <row r="3" spans="2:9" ht="18.5">
      <c r="B3" s="3"/>
      <c r="G3" s="4"/>
      <c r="H3" s="4"/>
    </row>
    <row r="4" spans="2:9" ht="18.5">
      <c r="B4" s="3"/>
      <c r="G4" s="4"/>
      <c r="H4" s="4"/>
    </row>
    <row r="5" spans="2:9">
      <c r="B5" s="2" t="s">
        <v>1</v>
      </c>
      <c r="C5" s="88"/>
      <c r="D5" s="88"/>
      <c r="E5" s="88"/>
      <c r="G5" s="4"/>
      <c r="H5" s="4"/>
    </row>
    <row r="6" spans="2:9" ht="16.5">
      <c r="B6" s="99" t="s">
        <v>77</v>
      </c>
      <c r="C6" s="88"/>
      <c r="D6" s="88"/>
      <c r="E6" s="88"/>
      <c r="G6" s="4"/>
      <c r="H6" s="4"/>
    </row>
    <row r="7" spans="2:9" ht="16.5">
      <c r="B7" s="99" t="s">
        <v>75</v>
      </c>
      <c r="C7" s="88"/>
      <c r="D7" s="88"/>
      <c r="E7" s="88"/>
      <c r="G7" s="4"/>
      <c r="H7" s="4"/>
    </row>
    <row r="8" spans="2:9" ht="16.5">
      <c r="B8" s="99" t="s">
        <v>74</v>
      </c>
      <c r="C8" s="88"/>
      <c r="D8" s="88"/>
      <c r="E8" s="88"/>
      <c r="G8" s="4"/>
      <c r="H8" s="4"/>
    </row>
    <row r="9" spans="2:9" ht="16.5">
      <c r="B9" s="99" t="s">
        <v>73</v>
      </c>
      <c r="C9" s="88"/>
      <c r="D9" s="88"/>
      <c r="E9" s="88"/>
      <c r="G9" s="4"/>
      <c r="H9" s="4"/>
    </row>
    <row r="10" spans="2:9" ht="16.5">
      <c r="B10" s="99" t="s">
        <v>72</v>
      </c>
      <c r="C10" s="88"/>
      <c r="D10" s="88"/>
      <c r="E10" s="88"/>
      <c r="G10" s="4"/>
      <c r="H10" s="4"/>
    </row>
    <row r="11" spans="2:9" ht="16.5">
      <c r="B11" s="99" t="s">
        <v>76</v>
      </c>
      <c r="C11" s="88"/>
      <c r="D11" s="88"/>
      <c r="E11" s="88"/>
      <c r="G11" s="4"/>
      <c r="H11" s="4"/>
    </row>
    <row r="12" spans="2:9" ht="16.5">
      <c r="B12" s="99" t="s">
        <v>2</v>
      </c>
      <c r="C12" s="88"/>
      <c r="D12" s="88"/>
      <c r="E12" s="88"/>
      <c r="G12" s="4"/>
      <c r="H12" s="4"/>
    </row>
    <row r="13" spans="2:9">
      <c r="B13" s="88"/>
      <c r="C13" s="88"/>
      <c r="D13" s="88"/>
      <c r="E13" s="88"/>
      <c r="G13" s="4"/>
      <c r="H13" s="4"/>
    </row>
    <row r="14" spans="2:9" ht="20.5">
      <c r="B14" s="136" t="s">
        <v>3</v>
      </c>
      <c r="C14" s="137"/>
      <c r="D14" s="137"/>
      <c r="E14" s="137"/>
      <c r="F14" s="137"/>
      <c r="G14" s="137"/>
      <c r="H14" s="137"/>
      <c r="I14" s="137"/>
    </row>
    <row r="15" spans="2:9" ht="15.5">
      <c r="B15" s="2"/>
      <c r="G15" s="138" t="s">
        <v>4</v>
      </c>
      <c r="H15" s="138"/>
      <c r="I15" s="138"/>
    </row>
    <row r="16" spans="2:9" ht="19" customHeight="1">
      <c r="B16" s="2"/>
      <c r="D16" s="121" t="s">
        <v>5</v>
      </c>
      <c r="E16" s="122" t="s">
        <v>6</v>
      </c>
      <c r="F16" s="124"/>
      <c r="G16" s="125" t="s">
        <v>7</v>
      </c>
      <c r="H16" s="126" t="s">
        <v>8</v>
      </c>
      <c r="I16" s="127" t="s">
        <v>9</v>
      </c>
    </row>
    <row r="17" spans="2:9" ht="16.5">
      <c r="B17" s="99" t="s">
        <v>10</v>
      </c>
      <c r="D17" s="91"/>
      <c r="E17" s="131" t="s">
        <v>11</v>
      </c>
      <c r="F17" s="92"/>
      <c r="G17" s="93" t="s">
        <v>11</v>
      </c>
      <c r="H17" s="94">
        <v>2.35</v>
      </c>
      <c r="I17" s="134">
        <v>10.49</v>
      </c>
    </row>
    <row r="18" spans="2:9" ht="16.5">
      <c r="B18" s="99" t="s">
        <v>12</v>
      </c>
      <c r="D18" s="132">
        <v>1.5</v>
      </c>
      <c r="E18" s="95">
        <f>IF($E$17=G$17,I$17,IF($E$17=G$18,I$18,IF($E$17=G$19,I$19,IF($E$17=G$20,I$20,""))))</f>
        <v>10.49</v>
      </c>
      <c r="F18" s="92"/>
      <c r="G18" s="96" t="s">
        <v>13</v>
      </c>
      <c r="H18" s="94">
        <v>1.6</v>
      </c>
      <c r="I18" s="135">
        <v>8.99</v>
      </c>
    </row>
    <row r="19" spans="2:9" ht="16.5">
      <c r="B19" s="99" t="s">
        <v>14</v>
      </c>
      <c r="D19" s="133">
        <v>2</v>
      </c>
      <c r="E19" s="97">
        <f>IF($E$17=G$17,H$17,IF($E$17=G$18,H$18,IF($E$17=G$19,H$19,IF($E$17=G$20,H$20,""))))</f>
        <v>2.35</v>
      </c>
      <c r="F19" s="92"/>
      <c r="G19" s="96" t="s">
        <v>15</v>
      </c>
      <c r="H19" s="94">
        <v>2.5</v>
      </c>
      <c r="I19" s="135">
        <v>10.49</v>
      </c>
    </row>
    <row r="20" spans="2:9" ht="16.5">
      <c r="B20" s="99" t="s">
        <v>16</v>
      </c>
      <c r="D20" s="98">
        <f>E20</f>
        <v>6</v>
      </c>
      <c r="E20" s="133">
        <v>6</v>
      </c>
      <c r="F20" s="99"/>
      <c r="G20" s="96" t="s">
        <v>17</v>
      </c>
      <c r="H20" s="94">
        <v>4.9000000000000004</v>
      </c>
      <c r="I20" s="135">
        <v>14.99</v>
      </c>
    </row>
    <row r="21" spans="2:9" ht="16.5">
      <c r="B21" s="99" t="s">
        <v>18</v>
      </c>
      <c r="D21" s="100">
        <f>ROUNDUP(D20/D19,0)</f>
        <v>3</v>
      </c>
      <c r="E21" s="100">
        <f>ROUNDUP(E20/E19,0)</f>
        <v>3</v>
      </c>
      <c r="F21" s="99"/>
      <c r="G21" s="101" t="s">
        <v>19</v>
      </c>
      <c r="H21" s="102"/>
      <c r="I21" s="103"/>
    </row>
    <row r="22" spans="2:9" ht="16.5">
      <c r="B22" s="99" t="s">
        <v>20</v>
      </c>
      <c r="D22" s="98">
        <v>1</v>
      </c>
      <c r="E22" s="133">
        <v>2</v>
      </c>
      <c r="F22" s="99"/>
      <c r="G22" s="99"/>
      <c r="H22" s="99"/>
      <c r="I22" s="99"/>
    </row>
    <row r="23" spans="2:9" ht="16.5">
      <c r="B23" s="99" t="s">
        <v>21</v>
      </c>
      <c r="D23" s="98">
        <f>E23</f>
        <v>50</v>
      </c>
      <c r="E23" s="133">
        <v>50</v>
      </c>
      <c r="F23" s="99"/>
      <c r="G23" s="99"/>
      <c r="H23" s="99"/>
      <c r="I23" s="99"/>
    </row>
    <row r="24" spans="2:9" ht="16.5">
      <c r="B24" s="99" t="s">
        <v>22</v>
      </c>
      <c r="D24" s="98">
        <f>E24</f>
        <v>2</v>
      </c>
      <c r="E24" s="133">
        <v>2</v>
      </c>
      <c r="F24" s="99"/>
      <c r="G24" s="99"/>
      <c r="H24" s="99"/>
      <c r="I24" s="99"/>
    </row>
    <row r="25" spans="2:9" ht="16.5">
      <c r="B25" s="99" t="s">
        <v>23</v>
      </c>
      <c r="D25" s="104">
        <f>D23*D24</f>
        <v>100</v>
      </c>
      <c r="E25" s="104">
        <f>E23*E24</f>
        <v>100</v>
      </c>
      <c r="F25" s="99"/>
      <c r="G25" s="99"/>
      <c r="H25" s="99"/>
      <c r="I25" s="99"/>
    </row>
    <row r="26" spans="2:9" ht="16.5">
      <c r="B26" s="99" t="s">
        <v>24</v>
      </c>
      <c r="D26" s="105">
        <f>D25*D21*D22</f>
        <v>300</v>
      </c>
      <c r="E26" s="105">
        <f>E25*E21*E22</f>
        <v>600</v>
      </c>
      <c r="F26" s="99"/>
      <c r="G26" s="99"/>
      <c r="H26" s="99"/>
      <c r="I26" s="99"/>
    </row>
    <row r="27" spans="2:9">
      <c r="D27" s="43"/>
    </row>
    <row r="28" spans="2:9">
      <c r="D28" s="43"/>
    </row>
    <row r="29" spans="2:9" ht="15.5">
      <c r="D29" s="139" t="s">
        <v>25</v>
      </c>
      <c r="E29" s="139"/>
      <c r="F29" s="128"/>
      <c r="G29" s="139" t="s">
        <v>26</v>
      </c>
      <c r="H29" s="139"/>
    </row>
    <row r="30" spans="2:9" ht="15.65" customHeight="1">
      <c r="D30" s="121" t="str">
        <f>D16</f>
        <v>Single Use Ice</v>
      </c>
      <c r="E30" s="122" t="s">
        <v>6</v>
      </c>
      <c r="F30" s="123"/>
      <c r="G30" s="121" t="str">
        <f>D16</f>
        <v>Single Use Ice</v>
      </c>
      <c r="H30" s="122" t="s">
        <v>6</v>
      </c>
    </row>
    <row r="31" spans="2:9" ht="16.5">
      <c r="B31" s="99" t="s">
        <v>27</v>
      </c>
      <c r="D31" s="110">
        <f>D21*D18</f>
        <v>4.5</v>
      </c>
      <c r="E31" s="110">
        <f>(E18*E21*E22)</f>
        <v>62.94</v>
      </c>
      <c r="F31" s="111"/>
      <c r="G31" s="112">
        <f>D31*D25</f>
        <v>450</v>
      </c>
      <c r="H31" s="112">
        <f>E31*E25</f>
        <v>6294</v>
      </c>
    </row>
    <row r="32" spans="2:9" ht="16.5">
      <c r="B32" s="99" t="s">
        <v>28</v>
      </c>
      <c r="D32" s="113">
        <f>D31*7</f>
        <v>31.5</v>
      </c>
      <c r="E32" s="113">
        <f>E31</f>
        <v>62.94</v>
      </c>
      <c r="F32" s="92"/>
      <c r="G32" s="113">
        <f>G31*7</f>
        <v>3150</v>
      </c>
      <c r="H32" s="113">
        <f>H31</f>
        <v>6294</v>
      </c>
    </row>
    <row r="33" spans="2:8" ht="16.5">
      <c r="B33" s="99" t="s">
        <v>29</v>
      </c>
      <c r="D33" s="113">
        <f>D34/12</f>
        <v>136.5</v>
      </c>
      <c r="E33" s="113">
        <f>E32</f>
        <v>62.94</v>
      </c>
      <c r="F33" s="114"/>
      <c r="G33" s="113">
        <f>G34/12</f>
        <v>13650</v>
      </c>
      <c r="H33" s="113">
        <f>H32</f>
        <v>6294</v>
      </c>
    </row>
    <row r="34" spans="2:8" ht="16.5">
      <c r="B34" s="99" t="s">
        <v>30</v>
      </c>
      <c r="D34" s="113">
        <f>D32*52</f>
        <v>1638</v>
      </c>
      <c r="E34" s="113">
        <f>E33</f>
        <v>62.94</v>
      </c>
      <c r="F34" s="115"/>
      <c r="G34" s="113">
        <f>G32*52</f>
        <v>163800</v>
      </c>
      <c r="H34" s="113">
        <f>H33</f>
        <v>6294</v>
      </c>
    </row>
    <row r="35" spans="2:8" ht="17" thickBot="1">
      <c r="F35" s="76"/>
      <c r="G35" s="129" t="s">
        <v>31</v>
      </c>
      <c r="H35" s="130">
        <f>E39</f>
        <v>100</v>
      </c>
    </row>
    <row r="36" spans="2:8">
      <c r="B36" s="90" t="s">
        <v>32</v>
      </c>
      <c r="C36" s="80"/>
      <c r="D36" s="80"/>
      <c r="E36" s="81"/>
      <c r="F36" s="76"/>
    </row>
    <row r="37" spans="2:8" ht="16.5">
      <c r="B37" s="106" t="s">
        <v>33</v>
      </c>
      <c r="C37" s="83"/>
      <c r="D37" s="84"/>
      <c r="E37" s="116">
        <f>E23</f>
        <v>50</v>
      </c>
    </row>
    <row r="38" spans="2:8" ht="16.5">
      <c r="B38" s="107" t="s">
        <v>34</v>
      </c>
      <c r="C38" s="1"/>
      <c r="D38" s="85"/>
      <c r="E38" s="117">
        <f>E24</f>
        <v>2</v>
      </c>
      <c r="F38" s="77"/>
    </row>
    <row r="39" spans="2:8" ht="16.5">
      <c r="B39" s="107" t="s">
        <v>35</v>
      </c>
      <c r="C39" s="1"/>
      <c r="D39" s="85"/>
      <c r="E39" s="117">
        <f>E25</f>
        <v>100</v>
      </c>
      <c r="F39" s="77"/>
      <c r="G39" s="78"/>
      <c r="H39" s="77"/>
    </row>
    <row r="40" spans="2:8" ht="16.5">
      <c r="B40" s="108" t="s">
        <v>36</v>
      </c>
      <c r="C40" s="1"/>
      <c r="D40" s="1"/>
      <c r="E40" s="118">
        <f>E32/D32</f>
        <v>1.9980952380952379</v>
      </c>
      <c r="F40" s="77"/>
      <c r="G40" s="78"/>
      <c r="H40" s="77"/>
    </row>
    <row r="41" spans="2:8" ht="16.5">
      <c r="B41" s="108" t="s">
        <v>71</v>
      </c>
      <c r="C41" s="1"/>
      <c r="D41" s="1"/>
      <c r="E41" s="119">
        <f>D34-E34</f>
        <v>1575.06</v>
      </c>
      <c r="F41" s="77"/>
      <c r="G41" s="78"/>
      <c r="H41" s="77"/>
    </row>
    <row r="42" spans="2:8" ht="16.5">
      <c r="B42" s="109" t="s">
        <v>37</v>
      </c>
      <c r="C42" s="86"/>
      <c r="D42" s="87"/>
      <c r="E42" s="120">
        <f>G34-H34</f>
        <v>157506</v>
      </c>
      <c r="F42" s="79"/>
      <c r="G42" s="79"/>
      <c r="H42" s="79"/>
    </row>
    <row r="43" spans="2:8">
      <c r="F43" s="78"/>
      <c r="G43" s="78"/>
      <c r="H43" s="78"/>
    </row>
    <row r="44" spans="2:8">
      <c r="F44" s="36"/>
      <c r="G44" s="36"/>
      <c r="H44" s="36"/>
    </row>
    <row r="45" spans="2:8">
      <c r="B45" s="16"/>
    </row>
  </sheetData>
  <mergeCells count="4">
    <mergeCell ref="B14:I14"/>
    <mergeCell ref="G15:I15"/>
    <mergeCell ref="D29:E29"/>
    <mergeCell ref="G29:H29"/>
  </mergeCells>
  <dataValidations count="1">
    <dataValidation type="list" allowBlank="1" showInputMessage="1" showErrorMessage="1" sqref="E17" xr:uid="{FDD3B303-604B-4C8B-B536-4C7ADF5556F8}">
      <formula1>$G$17:$G$20</formula1>
    </dataValidation>
  </dataValidation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showGridLines="0" zoomScale="130" zoomScaleNormal="130" workbookViewId="0"/>
  </sheetViews>
  <sheetFormatPr defaultRowHeight="14.5"/>
  <cols>
    <col min="1" max="1" width="18.7265625" customWidth="1"/>
    <col min="2" max="2" width="14.81640625" customWidth="1"/>
    <col min="3" max="3" width="14.1796875" customWidth="1"/>
    <col min="4" max="4" width="13.81640625" customWidth="1"/>
    <col min="5" max="5" width="5.1796875" style="19" customWidth="1"/>
    <col min="6" max="6" width="13.453125" customWidth="1"/>
    <col min="7" max="7" width="12.54296875" customWidth="1"/>
    <col min="9" max="9" width="15" customWidth="1"/>
    <col min="10" max="10" width="12.26953125" bestFit="1" customWidth="1"/>
  </cols>
  <sheetData>
    <row r="1" spans="1:12" ht="18.5">
      <c r="A1" s="3" t="s">
        <v>38</v>
      </c>
    </row>
    <row r="2" spans="1:12" ht="19" thickBot="1">
      <c r="A2" s="3"/>
    </row>
    <row r="3" spans="1:12" ht="15" thickBot="1">
      <c r="A3" s="49" t="s">
        <v>3</v>
      </c>
      <c r="B3" s="50"/>
      <c r="C3" s="50"/>
      <c r="D3" s="51"/>
      <c r="E3" s="28"/>
      <c r="F3" s="28"/>
      <c r="G3" s="28"/>
    </row>
    <row r="4" spans="1:12" ht="15" thickBot="1">
      <c r="A4" s="2"/>
      <c r="F4" s="19"/>
    </row>
    <row r="5" spans="1:12">
      <c r="A5" s="52"/>
      <c r="B5" s="1"/>
      <c r="C5" s="47" t="s">
        <v>39</v>
      </c>
      <c r="D5" s="68" t="s">
        <v>40</v>
      </c>
      <c r="E5" s="82"/>
      <c r="I5" s="58" t="s">
        <v>41</v>
      </c>
      <c r="J5" s="59" t="s">
        <v>42</v>
      </c>
      <c r="K5" s="60" t="s">
        <v>43</v>
      </c>
    </row>
    <row r="6" spans="1:12">
      <c r="A6" s="53" t="s">
        <v>41</v>
      </c>
      <c r="B6" s="1"/>
      <c r="C6" s="54"/>
      <c r="D6" s="48" t="s">
        <v>44</v>
      </c>
      <c r="E6" s="82"/>
      <c r="I6" s="61" t="s">
        <v>44</v>
      </c>
      <c r="J6" s="46">
        <v>2.5</v>
      </c>
      <c r="K6" s="62">
        <v>8.49</v>
      </c>
    </row>
    <row r="7" spans="1:12">
      <c r="A7" s="53" t="s">
        <v>12</v>
      </c>
      <c r="B7" s="1"/>
      <c r="C7" s="55">
        <v>0.99</v>
      </c>
      <c r="D7" s="45">
        <f>IF(D6="Shuttle",K6,IF(D6="Fresh Small",K7,IF(D6="Fresh Large", K8,IF(D6="Vino6",K9,))))</f>
        <v>8.49</v>
      </c>
      <c r="E7" s="82"/>
      <c r="I7" s="63" t="s">
        <v>45</v>
      </c>
      <c r="J7" s="46">
        <v>1.1000000000000001</v>
      </c>
      <c r="K7" s="62">
        <v>9.6</v>
      </c>
    </row>
    <row r="8" spans="1:12">
      <c r="A8" s="53" t="s">
        <v>46</v>
      </c>
      <c r="B8" s="1"/>
      <c r="C8" s="56">
        <v>2</v>
      </c>
      <c r="D8" s="57">
        <f>IF(D6="Shuttle",J6,IF(D6="Fresh Small",J7,IF(D6="Fresh Large", J8,IF(D6="Vino6",J9,))))</f>
        <v>2.5</v>
      </c>
      <c r="E8" s="82"/>
      <c r="I8" s="63" t="s">
        <v>47</v>
      </c>
      <c r="J8" s="46">
        <v>3.7</v>
      </c>
      <c r="K8" s="62">
        <v>13.8</v>
      </c>
    </row>
    <row r="9" spans="1:12">
      <c r="I9" s="64" t="s">
        <v>48</v>
      </c>
      <c r="J9" s="46">
        <v>5</v>
      </c>
      <c r="K9" s="62">
        <v>13.49</v>
      </c>
    </row>
    <row r="10" spans="1:12">
      <c r="A10" t="s">
        <v>49</v>
      </c>
      <c r="C10" s="8">
        <v>5</v>
      </c>
      <c r="I10" s="65" t="s">
        <v>50</v>
      </c>
      <c r="J10" s="46">
        <v>1.25</v>
      </c>
      <c r="K10" s="62">
        <v>2.99</v>
      </c>
      <c r="L10" s="67"/>
    </row>
    <row r="11" spans="1:12">
      <c r="A11" t="s">
        <v>51</v>
      </c>
      <c r="C11" s="8">
        <v>1</v>
      </c>
      <c r="I11" s="70" t="s">
        <v>52</v>
      </c>
      <c r="J11" s="71">
        <v>3.1</v>
      </c>
      <c r="K11" s="72">
        <v>4.99</v>
      </c>
      <c r="L11" s="67"/>
    </row>
    <row r="12" spans="1:12" ht="15" thickBot="1">
      <c r="A12" t="s">
        <v>53</v>
      </c>
      <c r="C12" s="8">
        <v>2</v>
      </c>
      <c r="I12" s="73" t="s">
        <v>54</v>
      </c>
      <c r="J12" s="66">
        <f>J11*2+J10*2</f>
        <v>8.6999999999999993</v>
      </c>
      <c r="K12" s="74">
        <f>K11*2+K10*2</f>
        <v>15.96</v>
      </c>
    </row>
    <row r="13" spans="1:12">
      <c r="A13" t="s">
        <v>55</v>
      </c>
      <c r="C13" s="8">
        <v>500</v>
      </c>
    </row>
    <row r="14" spans="1:12">
      <c r="A14" t="s">
        <v>56</v>
      </c>
      <c r="C14" s="43">
        <f>C13*C11</f>
        <v>500</v>
      </c>
    </row>
    <row r="15" spans="1:12">
      <c r="A15" t="s">
        <v>57</v>
      </c>
      <c r="C15" s="15">
        <f>(C13*D19*C11)/C12</f>
        <v>500</v>
      </c>
    </row>
    <row r="16" spans="1:12" ht="15" thickBot="1">
      <c r="C16" s="15"/>
    </row>
    <row r="17" spans="1:7" ht="15" thickBot="1">
      <c r="C17" s="140" t="s">
        <v>58</v>
      </c>
      <c r="D17" s="141"/>
      <c r="E17" s="82"/>
      <c r="F17" s="82"/>
      <c r="G17" s="82"/>
    </row>
    <row r="18" spans="1:7">
      <c r="C18" s="18" t="s">
        <v>39</v>
      </c>
      <c r="D18" s="69" t="s">
        <v>40</v>
      </c>
      <c r="E18" s="82"/>
      <c r="F18" s="44"/>
      <c r="G18" s="82"/>
    </row>
    <row r="19" spans="1:7">
      <c r="A19" t="s">
        <v>59</v>
      </c>
      <c r="C19" s="11">
        <f>ROUNDUP(C10/C8,0)</f>
        <v>3</v>
      </c>
      <c r="D19" s="11">
        <f>ROUNDUP(C10/D8,0)</f>
        <v>2</v>
      </c>
      <c r="E19" s="29"/>
      <c r="F19" s="26"/>
      <c r="G19" s="26"/>
    </row>
    <row r="20" spans="1:7">
      <c r="A20" t="s">
        <v>60</v>
      </c>
      <c r="C20" s="12">
        <f>C7</f>
        <v>0.99</v>
      </c>
      <c r="D20" s="12">
        <f>D7</f>
        <v>8.49</v>
      </c>
      <c r="E20" s="30"/>
      <c r="F20" s="27"/>
      <c r="G20" s="27"/>
    </row>
    <row r="21" spans="1:7">
      <c r="A21" t="s">
        <v>61</v>
      </c>
      <c r="C21" s="13"/>
      <c r="D21" s="5">
        <v>0.5</v>
      </c>
      <c r="E21" s="31"/>
      <c r="F21" s="7"/>
      <c r="G21" s="7"/>
    </row>
    <row r="22" spans="1:7" ht="15" thickBot="1">
      <c r="C22" s="13"/>
      <c r="D22" s="14"/>
      <c r="E22" s="32"/>
      <c r="F22" s="14"/>
      <c r="G22" s="14"/>
    </row>
    <row r="23" spans="1:7" ht="15" thickBot="1">
      <c r="C23" s="140" t="s">
        <v>62</v>
      </c>
      <c r="D23" s="141"/>
      <c r="E23" s="82"/>
      <c r="F23" s="140" t="s">
        <v>63</v>
      </c>
      <c r="G23" s="141"/>
    </row>
    <row r="24" spans="1:7">
      <c r="C24" s="18" t="s">
        <v>39</v>
      </c>
      <c r="D24" s="69" t="s">
        <v>40</v>
      </c>
      <c r="E24" s="82"/>
      <c r="F24" s="18" t="s">
        <v>39</v>
      </c>
      <c r="G24" s="69" t="s">
        <v>40</v>
      </c>
    </row>
    <row r="25" spans="1:7">
      <c r="A25" t="s">
        <v>27</v>
      </c>
      <c r="C25" s="37">
        <f>C19*C20</f>
        <v>2.9699999999999998</v>
      </c>
      <c r="D25" s="38">
        <f>(D20*D19)+(D21*D19)</f>
        <v>17.98</v>
      </c>
      <c r="E25" s="82"/>
      <c r="F25" s="41">
        <f>C14/5*C25</f>
        <v>297</v>
      </c>
      <c r="G25" s="41">
        <f>C14/5*D25</f>
        <v>1798</v>
      </c>
    </row>
    <row r="26" spans="1:7">
      <c r="A26" t="s">
        <v>28</v>
      </c>
      <c r="C26" s="6">
        <f>C11*C20*C19</f>
        <v>2.9699999999999998</v>
      </c>
      <c r="D26" s="6">
        <f>(D19*D20)+(D$21*D19*C12*C11)</f>
        <v>18.98</v>
      </c>
      <c r="E26" s="33"/>
      <c r="F26" s="42">
        <f>C14*C26</f>
        <v>1484.9999999999998</v>
      </c>
      <c r="G26" s="42">
        <f>C14*D26</f>
        <v>9490</v>
      </c>
    </row>
    <row r="27" spans="1:7">
      <c r="A27" t="s">
        <v>29</v>
      </c>
      <c r="C27" s="6">
        <f>C26*52/12</f>
        <v>12.87</v>
      </c>
      <c r="D27" s="6">
        <f>(D19*D20)+(D$21*D19*C$11*C12*(52/12))</f>
        <v>25.646666666666668</v>
      </c>
      <c r="E27" s="33"/>
      <c r="F27" s="42">
        <f>C27*C14</f>
        <v>6435</v>
      </c>
      <c r="G27" s="42">
        <f>D27*C14</f>
        <v>12823.333333333334</v>
      </c>
    </row>
    <row r="28" spans="1:7">
      <c r="A28" t="s">
        <v>30</v>
      </c>
      <c r="C28" s="6">
        <f>C26*52</f>
        <v>154.44</v>
      </c>
      <c r="D28" s="6">
        <f>(D19*D20)+(D$21*D19*C11*C12*52)</f>
        <v>120.98</v>
      </c>
      <c r="E28" s="33"/>
      <c r="F28" s="42">
        <f>C28*C14</f>
        <v>77220</v>
      </c>
      <c r="G28" s="42">
        <f>D28*C14</f>
        <v>60490</v>
      </c>
    </row>
    <row r="29" spans="1:7" ht="15" thickBot="1"/>
    <row r="30" spans="1:7">
      <c r="A30" s="142" t="s">
        <v>64</v>
      </c>
      <c r="B30" s="143"/>
      <c r="C30" s="143"/>
      <c r="D30" s="144"/>
      <c r="E30" s="82"/>
      <c r="F30" s="44"/>
      <c r="G30" s="82"/>
    </row>
    <row r="31" spans="1:7">
      <c r="A31" s="39" t="s">
        <v>65</v>
      </c>
      <c r="B31" s="82"/>
      <c r="C31" s="82"/>
      <c r="D31" s="40"/>
      <c r="E31" s="82"/>
      <c r="F31" s="35"/>
      <c r="G31" s="82"/>
    </row>
    <row r="32" spans="1:7">
      <c r="A32" s="17" t="s">
        <v>66</v>
      </c>
      <c r="B32" s="4"/>
      <c r="C32" s="1"/>
      <c r="D32" s="20">
        <f>D26/C26</f>
        <v>6.390572390572391</v>
      </c>
      <c r="E32" s="34"/>
      <c r="F32" s="34"/>
      <c r="G32" s="34"/>
    </row>
    <row r="33" spans="1:7">
      <c r="A33" s="17" t="s">
        <v>67</v>
      </c>
      <c r="B33" s="4"/>
      <c r="C33" s="1"/>
      <c r="D33" s="21">
        <f>C28-D28</f>
        <v>33.459999999999994</v>
      </c>
      <c r="E33" s="35"/>
      <c r="F33" s="35"/>
      <c r="G33" s="35"/>
    </row>
    <row r="34" spans="1:7">
      <c r="A34" s="9"/>
      <c r="B34" s="1"/>
      <c r="C34" s="22" t="s">
        <v>68</v>
      </c>
      <c r="D34" s="23"/>
      <c r="E34" s="4"/>
      <c r="F34" s="4"/>
      <c r="G34" s="4"/>
    </row>
    <row r="35" spans="1:7" ht="15" thickBot="1">
      <c r="A35" s="24" t="s">
        <v>69</v>
      </c>
      <c r="B35" s="10"/>
      <c r="C35" s="75">
        <f>C14*52</f>
        <v>26000</v>
      </c>
      <c r="D35" s="25">
        <f>F28-G28</f>
        <v>16730</v>
      </c>
      <c r="E35" s="36"/>
      <c r="F35" s="36"/>
      <c r="G35" s="36"/>
    </row>
    <row r="37" spans="1:7">
      <c r="A37" s="16" t="s">
        <v>70</v>
      </c>
    </row>
  </sheetData>
  <mergeCells count="4">
    <mergeCell ref="F23:G23"/>
    <mergeCell ref="C17:D17"/>
    <mergeCell ref="C23:D23"/>
    <mergeCell ref="A30:D30"/>
  </mergeCells>
  <dataValidations count="1">
    <dataValidation type="list" allowBlank="1" showInputMessage="1" showErrorMessage="1" sqref="D6" xr:uid="{00000000-0002-0000-0200-000000000000}">
      <formula1>$I$6:$I$8</formula1>
    </dataValidation>
  </dataValidations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878193E83CB54B9043D5A77A0911CC" ma:contentTypeVersion="11" ma:contentTypeDescription="Create a new document." ma:contentTypeScope="" ma:versionID="47d71b3a9859da33207e178237d81d45">
  <xsd:schema xmlns:xsd="http://www.w3.org/2001/XMLSchema" xmlns:xs="http://www.w3.org/2001/XMLSchema" xmlns:p="http://schemas.microsoft.com/office/2006/metadata/properties" xmlns:ns2="687cf49b-0b77-4d27-8818-899fbf6efdee" xmlns:ns3="0b88083b-c4e3-4fed-a86b-4e7440b89f13" targetNamespace="http://schemas.microsoft.com/office/2006/metadata/properties" ma:root="true" ma:fieldsID="d41fe89c4689a39460af0ba3510ae6e8" ns2:_="" ns3:_="">
    <xsd:import namespace="687cf49b-0b77-4d27-8818-899fbf6efdee"/>
    <xsd:import namespace="0b88083b-c4e3-4fed-a86b-4e7440b89f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cf49b-0b77-4d27-8818-899fbf6efd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8083b-c4e3-4fed-a86b-4e7440b89f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EDEE17-6837-42E0-82AD-69FEE49656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478B43-65B6-4483-9383-E0A314AE79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cf49b-0b77-4d27-8818-899fbf6efdee"/>
    <ds:schemaRef ds:uri="0b88083b-c4e3-4fed-a86b-4e7440b89f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0322CA-0A7D-4369-9BB0-78CF42403330}">
  <ds:schemaRefs>
    <ds:schemaRef ds:uri="687cf49b-0b77-4d27-8818-899fbf6efde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0b88083b-c4e3-4fed-a86b-4e7440b89f1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Resusable ice vs. single use</vt:lpstr>
      <vt:lpstr>ROI Equal Ice</vt:lpstr>
      <vt:lpstr>Vino6</vt:lpstr>
    </vt:vector>
  </TitlesOfParts>
  <Manager/>
  <Company>OtterBox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Morine</dc:creator>
  <cp:keywords/>
  <dc:description/>
  <cp:lastModifiedBy>Rachel Lee</cp:lastModifiedBy>
  <cp:revision/>
  <dcterms:created xsi:type="dcterms:W3CDTF">2019-05-10T21:44:10Z</dcterms:created>
  <dcterms:modified xsi:type="dcterms:W3CDTF">2021-09-15T15:39:08Z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0x010100DB878193E83CB54B9043D5A77A0911CC</vt:lpwstr>
  </property>
</Properties>
</file>